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<sst xmlns="http://schemas.openxmlformats.org/spreadsheetml/2006/main" count="162" uniqueCount="113">
  <si>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</si>
  <si>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</si>
  <si>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</si>
  <si>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</si>
  <si>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</si>
  <si>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</si>
  <si>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</si>
  <si>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</si>
  <si>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</si>
  <si>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</si>
  <si>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</si>
  <si>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</si>
  <si>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</si>
  <si>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</si>
  <si>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</si>
  <si>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</si>
  <si>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</si>
  <si>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</si>
  <si>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</si>
  <si>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</si>
  <si>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</si>
  <si>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</si>
  <si>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</si>
  <si>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</si>
  <si>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</si>
  <si>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</si>
  <si>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</si>
  <si>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</si>
  <si>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</si>
  <si>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</si>
  <si>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</si>
  <si>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</si>
  <si>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</si>
  <si>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</si>
  <si>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</si>
  <si>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</si>
  <si>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</si>
  <si>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</si>
  <si>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</si>
  <si>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</si>
  <si>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</si>
  <si>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</si>
  <si>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</si>
  <si>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</si>
  <si>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</si>
  <si>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</si>
  <si>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</si>
  <si>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</si>
  <si>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</si>
  <si>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</si>
  <si>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</si>
  <si>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</si>
  <si>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</si>
  <si>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</si>
  <si>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</si>
  <si>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</si>
  <si>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</si>
  <si>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</si>
  <si>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</si>
  <si>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</si>
  <si>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</si>
  <si>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</si>
  <si>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</si>
  <si>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</si>
  <si>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</si>
  <si>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</si>
  <si>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</si>
  <si>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</si>
  <si>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</si>
  <si>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</si>
  <si>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</si>
  <si>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</si>
  <si>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</si>
  <si>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</si>
  <si>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</si>
  <si>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</si>
  <si>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</si>
  <si>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</si>
  <si>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</si>
  <si>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</si>
  <si>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</si>
  <si>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</si>
  <si>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</si>
  <si>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</si>
  <si>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</si>
  <si>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</si>
  <si>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</si>
  <si>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</si>
  <si>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</si>
  <si>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</si>
  <si>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</si>
  <si>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</si>
  <si>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</si>
  <si>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</si>
  <si>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</si>
  <si>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</si>
  <si>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</si>
  <si>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</si>
  <si>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</si>
  <si>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</si>
  <si>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</si>
  <si>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</si>
  <si>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</si>
  <si>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</si>
  <si>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</si>
  <si>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</si>
  <si>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</si>
  <si>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</si>
  <si>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</si>
  <si>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</si>
  <si>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</si>
  <si>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Субвенція обласному бюджету (250380)</t>
  </si>
  <si>
    <t>Аналіз використання коштів міського бюджету за 2016 рік станом на 21.10.2016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</si>
</sst>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3677945"/>
        <c:axId val="33101506"/>
      </c:bar3DChart>
      <c:catAx>
        <c:axId val="367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01506"/>
        <c:crosses val="autoZero"/>
        <c:auto val="1"/>
        <c:lblOffset val="100"/>
        <c:tickLblSkip val="1"/>
        <c:noMultiLvlLbl val="0"/>
      </c:catAx>
      <c:valAx>
        <c:axId val="33101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7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29478099"/>
        <c:axId val="63976300"/>
      </c:bar3D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76300"/>
        <c:crosses val="autoZero"/>
        <c:auto val="1"/>
        <c:lblOffset val="100"/>
        <c:tickLblSkip val="1"/>
        <c:noMultiLvlLbl val="0"/>
      </c:catAx>
      <c:valAx>
        <c:axId val="63976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78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38915789"/>
        <c:axId val="14697782"/>
      </c:bar3DChart>
      <c:catAx>
        <c:axId val="3891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97782"/>
        <c:crosses val="autoZero"/>
        <c:auto val="1"/>
        <c:lblOffset val="100"/>
        <c:tickLblSkip val="1"/>
        <c:noMultiLvlLbl val="0"/>
      </c:catAx>
      <c:valAx>
        <c:axId val="14697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5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65171175"/>
        <c:axId val="49669664"/>
      </c:bar3DChart>
      <c:catAx>
        <c:axId val="6517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69664"/>
        <c:crosses val="autoZero"/>
        <c:auto val="1"/>
        <c:lblOffset val="100"/>
        <c:tickLblSkip val="1"/>
        <c:noMultiLvlLbl val="0"/>
      </c:catAx>
      <c:valAx>
        <c:axId val="49669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71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44373793"/>
        <c:axId val="63819818"/>
      </c:bar3DChart>
      <c:catAx>
        <c:axId val="4437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19818"/>
        <c:crosses val="autoZero"/>
        <c:auto val="1"/>
        <c:lblOffset val="100"/>
        <c:tickLblSkip val="2"/>
        <c:noMultiLvlLbl val="0"/>
      </c:catAx>
      <c:valAx>
        <c:axId val="63819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73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37507451"/>
        <c:axId val="2022740"/>
      </c:bar3DChart>
      <c:catAx>
        <c:axId val="3750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2740"/>
        <c:crosses val="autoZero"/>
        <c:auto val="1"/>
        <c:lblOffset val="100"/>
        <c:tickLblSkip val="1"/>
        <c:noMultiLvlLbl val="0"/>
      </c:catAx>
      <c:valAx>
        <c:axId val="2022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7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8204661"/>
        <c:axId val="29624222"/>
      </c:bar3DChart>
      <c:catAx>
        <c:axId val="182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624222"/>
        <c:crosses val="autoZero"/>
        <c:auto val="1"/>
        <c:lblOffset val="100"/>
        <c:tickLblSkip val="1"/>
        <c:noMultiLvlLbl val="0"/>
      </c:catAx>
      <c:valAx>
        <c:axId val="29624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04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65291407"/>
        <c:axId val="50751752"/>
      </c:bar3D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51752"/>
        <c:crosses val="autoZero"/>
        <c:auto val="1"/>
        <c:lblOffset val="100"/>
        <c:tickLblSkip val="1"/>
        <c:noMultiLvlLbl val="0"/>
      </c:catAx>
      <c:valAx>
        <c:axId val="50751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1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54112585"/>
        <c:axId val="17251218"/>
      </c:bar3DChart>
      <c:catAx>
        <c:axId val="54112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51218"/>
        <c:crosses val="autoZero"/>
        <c:auto val="1"/>
        <c:lblOffset val="100"/>
        <c:tickLblSkip val="1"/>
        <c:noMultiLvlLbl val="0"/>
      </c:catAx>
      <c:valAx>
        <c:axId val="17251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2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8" sqref="B148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100</v>
      </c>
      <c r="D3" s="129" t="s">
        <v>23</v>
      </c>
      <c r="E3" s="129" t="s">
        <v>22</v>
      </c>
      <c r="F3" s="129" t="s">
        <v>109</v>
      </c>
      <c r="G3" s="129" t="s">
        <v>102</v>
      </c>
      <c r="H3" s="129" t="s">
        <v>110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v>364321.4</v>
      </c>
      <c r="C6" s="46">
        <f>426773.1+25+188.4+2200.9+6.1-1051.6+141.1+593.1+16568.5+4904.2</f>
        <v>450348.8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-43.6-0.1+131.4+895.9+137.6+11043.7+2.9+239.3+1315.8</f>
        <v>310249.70000000007</v>
      </c>
      <c r="E6" s="3">
        <f>D6/D150*100</f>
        <v>26.870553958333065</v>
      </c>
      <c r="F6" s="3">
        <f>D6/B6*100</f>
        <v>85.15824214553415</v>
      </c>
      <c r="G6" s="3">
        <f aca="true" t="shared" si="0" ref="G6:G43">D6/C6*100</f>
        <v>68.89097961402364</v>
      </c>
      <c r="H6" s="47">
        <f>B6-D6</f>
        <v>54071.69999999995</v>
      </c>
      <c r="I6" s="47">
        <f aca="true" t="shared" si="1" ref="I6:I43">C6-D6</f>
        <v>140099.09999999992</v>
      </c>
    </row>
    <row r="7" spans="1:9" s="37" customFormat="1" ht="18.75">
      <c r="A7" s="104" t="s">
        <v>87</v>
      </c>
      <c r="B7" s="97">
        <v>157102.6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</f>
        <v>135978.5</v>
      </c>
      <c r="E7" s="95">
        <f>D7/D6*100</f>
        <v>43.82872892383134</v>
      </c>
      <c r="F7" s="95">
        <f>D7/B7*100</f>
        <v>86.55394627460015</v>
      </c>
      <c r="G7" s="95">
        <f>D7/C7*100</f>
        <v>72.36840704724275</v>
      </c>
      <c r="H7" s="105">
        <f>B7-D7</f>
        <v>21124.100000000006</v>
      </c>
      <c r="I7" s="105">
        <f t="shared" si="1"/>
        <v>51919.100000000006</v>
      </c>
    </row>
    <row r="8" spans="1:9" ht="18">
      <c r="A8" s="23" t="s">
        <v>3</v>
      </c>
      <c r="B8" s="42">
        <v>257328.3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</f>
        <v>238117.49999999988</v>
      </c>
      <c r="E8" s="1">
        <f>D8/D6*100</f>
        <v>76.75027566505297</v>
      </c>
      <c r="F8" s="1">
        <f>D8/B8*100</f>
        <v>92.53451719068593</v>
      </c>
      <c r="G8" s="1">
        <f t="shared" si="0"/>
        <v>76.20569609315292</v>
      </c>
      <c r="H8" s="44">
        <f>B8-D8</f>
        <v>19210.800000000105</v>
      </c>
      <c r="I8" s="44">
        <f t="shared" si="1"/>
        <v>74349.30000000005</v>
      </c>
    </row>
    <row r="9" spans="1:9" ht="18">
      <c r="A9" s="23" t="s">
        <v>2</v>
      </c>
      <c r="B9" s="42">
        <v>77.6</v>
      </c>
      <c r="C9" s="43">
        <v>85.7</v>
      </c>
      <c r="D9" s="44">
        <f>4+2.9+1.6+0.5+0.5+1.9+1.2+1.8+1.6+0.7+2+3.7+0.1+1.9+2.9+1.2+0.4+1.1+0.2+0.6+1.5+1.7+0.3+0.5+1.3-0.1+0.4+0.3+1.5+2.7+0.5+2.5</f>
        <v>43.89999999999999</v>
      </c>
      <c r="E9" s="12">
        <f>D9/D6*100</f>
        <v>0.014149892812144533</v>
      </c>
      <c r="F9" s="120">
        <f>D9/B9*100</f>
        <v>56.5721649484536</v>
      </c>
      <c r="G9" s="1">
        <f t="shared" si="0"/>
        <v>51.225204200700105</v>
      </c>
      <c r="H9" s="44">
        <f aca="true" t="shared" si="2" ref="H9:H43">B9-D9</f>
        <v>33.7</v>
      </c>
      <c r="I9" s="44">
        <f t="shared" si="1"/>
        <v>41.80000000000001</v>
      </c>
    </row>
    <row r="10" spans="1:9" ht="18">
      <c r="A10" s="23" t="s">
        <v>1</v>
      </c>
      <c r="B10" s="42">
        <v>25431.7</v>
      </c>
      <c r="C10" s="43">
        <f>28052.9-28-1051.6+141.1</f>
        <v>27114.4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</f>
        <v>19513.00000000001</v>
      </c>
      <c r="E10" s="1">
        <f>D10/D6*100</f>
        <v>6.289450078436823</v>
      </c>
      <c r="F10" s="1">
        <f aca="true" t="shared" si="3" ref="F10:F41">D10/B10*100</f>
        <v>76.72707683717569</v>
      </c>
      <c r="G10" s="1">
        <f t="shared" si="0"/>
        <v>71.96545009293959</v>
      </c>
      <c r="H10" s="44">
        <f t="shared" si="2"/>
        <v>5918.69999999999</v>
      </c>
      <c r="I10" s="44">
        <f t="shared" si="1"/>
        <v>7601.3999999999905</v>
      </c>
    </row>
    <row r="11" spans="1:9" ht="18">
      <c r="A11" s="23" t="s">
        <v>0</v>
      </c>
      <c r="B11" s="42">
        <v>55179.9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</f>
        <v>33273.90000000001</v>
      </c>
      <c r="E11" s="1">
        <f>D11/D6*100</f>
        <v>10.724877413257774</v>
      </c>
      <c r="F11" s="1">
        <f t="shared" si="3"/>
        <v>60.300761690398154</v>
      </c>
      <c r="G11" s="1">
        <f t="shared" si="0"/>
        <v>44.37656039946227</v>
      </c>
      <c r="H11" s="44">
        <f t="shared" si="2"/>
        <v>21905.999999999993</v>
      </c>
      <c r="I11" s="44">
        <f t="shared" si="1"/>
        <v>41706.899999999994</v>
      </c>
    </row>
    <row r="12" spans="1:9" ht="18">
      <c r="A12" s="23" t="s">
        <v>14</v>
      </c>
      <c r="B12" s="42">
        <v>11915.9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</f>
        <v>9610</v>
      </c>
      <c r="E12" s="1">
        <f>D12/D6*100</f>
        <v>3.0975050096744647</v>
      </c>
      <c r="F12" s="1">
        <f t="shared" si="3"/>
        <v>80.64854522109115</v>
      </c>
      <c r="G12" s="1">
        <f t="shared" si="0"/>
        <v>65.1967435549525</v>
      </c>
      <c r="H12" s="44">
        <f t="shared" si="2"/>
        <v>2305.8999999999996</v>
      </c>
      <c r="I12" s="44">
        <f t="shared" si="1"/>
        <v>5130</v>
      </c>
    </row>
    <row r="13" spans="1:9" ht="18.75" thickBot="1">
      <c r="A13" s="23" t="s">
        <v>29</v>
      </c>
      <c r="B13" s="43">
        <f>B6-B8-B9-B10-B11-B12</f>
        <v>14388.000000000031</v>
      </c>
      <c r="C13" s="43">
        <f>C6-C8-C9-C10-C11-C12</f>
        <v>20961.10000000005</v>
      </c>
      <c r="D13" s="43">
        <f>D6-D8-D9-D10-D11-D12</f>
        <v>9691.400000000169</v>
      </c>
      <c r="E13" s="1">
        <f>D13/D6*100</f>
        <v>3.1237419407658304</v>
      </c>
      <c r="F13" s="1">
        <f t="shared" si="3"/>
        <v>67.35752015568633</v>
      </c>
      <c r="G13" s="1">
        <f t="shared" si="0"/>
        <v>46.2351689558284</v>
      </c>
      <c r="H13" s="44">
        <f t="shared" si="2"/>
        <v>4696.599999999862</v>
      </c>
      <c r="I13" s="44">
        <f t="shared" si="1"/>
        <v>11269.69999999988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217129.2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</f>
        <v>190191.09999999998</v>
      </c>
      <c r="E18" s="3">
        <f>D18/D150*100</f>
        <v>16.472345388068767</v>
      </c>
      <c r="F18" s="3">
        <f>D18/B18*100</f>
        <v>87.59351575006953</v>
      </c>
      <c r="G18" s="3">
        <f t="shared" si="0"/>
        <v>72.94337610935115</v>
      </c>
      <c r="H18" s="47">
        <f>B18-D18</f>
        <v>26938.100000000035</v>
      </c>
      <c r="I18" s="47">
        <f t="shared" si="1"/>
        <v>70546.90000000002</v>
      </c>
    </row>
    <row r="19" spans="1:9" s="37" customFormat="1" ht="18.75">
      <c r="A19" s="104" t="s">
        <v>88</v>
      </c>
      <c r="B19" s="97">
        <v>158017.1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</f>
        <v>141439.69999999995</v>
      </c>
      <c r="E19" s="95">
        <f>D19/D18*100</f>
        <v>74.36714967209295</v>
      </c>
      <c r="F19" s="95">
        <f t="shared" si="3"/>
        <v>89.5091100899839</v>
      </c>
      <c r="G19" s="95">
        <f t="shared" si="0"/>
        <v>73.84631850991343</v>
      </c>
      <c r="H19" s="105">
        <f t="shared" si="2"/>
        <v>16577.400000000052</v>
      </c>
      <c r="I19" s="105">
        <f t="shared" si="1"/>
        <v>50092.80000000005</v>
      </c>
    </row>
    <row r="20" spans="1:9" ht="18">
      <c r="A20" s="23" t="s">
        <v>5</v>
      </c>
      <c r="B20" s="42">
        <v>159617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</f>
        <v>148496.5</v>
      </c>
      <c r="E20" s="1">
        <f>D20/D18*100</f>
        <v>78.07752308073303</v>
      </c>
      <c r="F20" s="1">
        <f t="shared" si="3"/>
        <v>93.03301026832982</v>
      </c>
      <c r="G20" s="1">
        <f t="shared" si="0"/>
        <v>78.32680506662419</v>
      </c>
      <c r="H20" s="44">
        <f t="shared" si="2"/>
        <v>11120.5</v>
      </c>
      <c r="I20" s="44">
        <f t="shared" si="1"/>
        <v>41089.29999999999</v>
      </c>
    </row>
    <row r="21" spans="1:9" ht="18">
      <c r="A21" s="23" t="s">
        <v>2</v>
      </c>
      <c r="B21" s="42">
        <v>20263.3</v>
      </c>
      <c r="C21" s="43">
        <f>20454.1+500+110+1045.6</f>
        <v>22109.699999999997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</f>
        <v>16922.6</v>
      </c>
      <c r="E21" s="1">
        <f>D21/D18*100</f>
        <v>8.897682383665693</v>
      </c>
      <c r="F21" s="1">
        <f t="shared" si="3"/>
        <v>83.51354419072905</v>
      </c>
      <c r="G21" s="1">
        <f t="shared" si="0"/>
        <v>76.53925652541645</v>
      </c>
      <c r="H21" s="44">
        <f t="shared" si="2"/>
        <v>3340.7000000000007</v>
      </c>
      <c r="I21" s="44">
        <f t="shared" si="1"/>
        <v>5187.0999999999985</v>
      </c>
    </row>
    <row r="22" spans="1:9" ht="18">
      <c r="A22" s="23" t="s">
        <v>1</v>
      </c>
      <c r="B22" s="42">
        <v>3669.6</v>
      </c>
      <c r="C22" s="43">
        <v>3917.9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</f>
        <v>3276.2000000000003</v>
      </c>
      <c r="E22" s="1">
        <f>D22/D18*100</f>
        <v>1.722583233389996</v>
      </c>
      <c r="F22" s="1">
        <f t="shared" si="3"/>
        <v>89.2794855025071</v>
      </c>
      <c r="G22" s="1">
        <f t="shared" si="0"/>
        <v>83.62132775211211</v>
      </c>
      <c r="H22" s="44">
        <f t="shared" si="2"/>
        <v>393.39999999999964</v>
      </c>
      <c r="I22" s="44">
        <f t="shared" si="1"/>
        <v>641.6999999999998</v>
      </c>
    </row>
    <row r="23" spans="1:9" ht="18">
      <c r="A23" s="23" t="s">
        <v>0</v>
      </c>
      <c r="B23" s="42">
        <v>20361.1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</f>
        <v>15535.499999999995</v>
      </c>
      <c r="E23" s="1">
        <f>D23/D18*100</f>
        <v>8.168363293550538</v>
      </c>
      <c r="F23" s="1">
        <f t="shared" si="3"/>
        <v>76.299905211408</v>
      </c>
      <c r="G23" s="1">
        <f t="shared" si="0"/>
        <v>52.266900825612126</v>
      </c>
      <c r="H23" s="44">
        <f t="shared" si="2"/>
        <v>4825.600000000004</v>
      </c>
      <c r="I23" s="44">
        <f t="shared" si="1"/>
        <v>14187.900000000007</v>
      </c>
    </row>
    <row r="24" spans="1:9" ht="18">
      <c r="A24" s="23" t="s">
        <v>14</v>
      </c>
      <c r="B24" s="42">
        <v>1375.7</v>
      </c>
      <c r="C24" s="43">
        <v>1591.6</v>
      </c>
      <c r="D24" s="44">
        <f>73.6+22.6+5.3+2.4+2.5+128.1+0.1+11.5+121.2+11.2-0.1+27.3+71.1+31.4-0.1+0.8+24.6+83.5+19.6+26.5+24.2+67.9+2.3+4+48.1+8.9+75.1+2+0.1+126.5+0.8+36.4+6.5+68.6+1.9+11.7+18.6+90+2.2</f>
        <v>1258.8999999999999</v>
      </c>
      <c r="E24" s="1">
        <f>D24/D18*100</f>
        <v>0.6619132020373193</v>
      </c>
      <c r="F24" s="1">
        <f t="shared" si="3"/>
        <v>91.509776840881</v>
      </c>
      <c r="G24" s="1">
        <f t="shared" si="0"/>
        <v>79.09650665996482</v>
      </c>
      <c r="H24" s="44">
        <f t="shared" si="2"/>
        <v>116.80000000000018</v>
      </c>
      <c r="I24" s="44">
        <f t="shared" si="1"/>
        <v>332.70000000000005</v>
      </c>
    </row>
    <row r="25" spans="1:9" ht="18.75" thickBot="1">
      <c r="A25" s="23" t="s">
        <v>29</v>
      </c>
      <c r="B25" s="43">
        <f>B18-B20-B21-B22-B23-B24</f>
        <v>11842.500000000011</v>
      </c>
      <c r="C25" s="43">
        <f>C18-C20-C21-C22-C23-C24</f>
        <v>13809.600000000011</v>
      </c>
      <c r="D25" s="43">
        <f>D18-D20-D21-D22-D23-D24</f>
        <v>4701.399999999983</v>
      </c>
      <c r="E25" s="1">
        <f>D25/D18*100</f>
        <v>2.471934806623435</v>
      </c>
      <c r="F25" s="1">
        <f t="shared" si="3"/>
        <v>39.699387798184326</v>
      </c>
      <c r="G25" s="1">
        <f t="shared" si="0"/>
        <v>34.04443285830132</v>
      </c>
      <c r="H25" s="44">
        <f t="shared" si="2"/>
        <v>7141.100000000028</v>
      </c>
      <c r="I25" s="44">
        <f t="shared" si="1"/>
        <v>9108.200000000028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41219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</f>
        <v>36940.299999999996</v>
      </c>
      <c r="E33" s="3">
        <f>D33/D150*100</f>
        <v>3.199378837069014</v>
      </c>
      <c r="F33" s="3">
        <f>D33/B33*100</f>
        <v>89.61959290618402</v>
      </c>
      <c r="G33" s="3">
        <f t="shared" si="0"/>
        <v>73.90498864625326</v>
      </c>
      <c r="H33" s="47">
        <f t="shared" si="2"/>
        <v>4278.700000000004</v>
      </c>
      <c r="I33" s="47">
        <f t="shared" si="1"/>
        <v>13043.200000000004</v>
      </c>
    </row>
    <row r="34" spans="1:9" ht="18">
      <c r="A34" s="23" t="s">
        <v>3</v>
      </c>
      <c r="B34" s="42">
        <v>30002.8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</f>
        <v>27539.599999999988</v>
      </c>
      <c r="E34" s="1">
        <f>D34/D33*100</f>
        <v>74.55164143225689</v>
      </c>
      <c r="F34" s="1">
        <f t="shared" si="3"/>
        <v>91.79009959070483</v>
      </c>
      <c r="G34" s="1">
        <f t="shared" si="0"/>
        <v>75.76376986626975</v>
      </c>
      <c r="H34" s="44">
        <f t="shared" si="2"/>
        <v>2463.2000000000116</v>
      </c>
      <c r="I34" s="44">
        <f t="shared" si="1"/>
        <v>8809.700000000008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2221.8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</f>
        <v>1297.7999999999995</v>
      </c>
      <c r="E36" s="1">
        <f>D36/D33*100</f>
        <v>3.513236221687424</v>
      </c>
      <c r="F36" s="1">
        <f t="shared" si="3"/>
        <v>58.41209829867672</v>
      </c>
      <c r="G36" s="1">
        <f t="shared" si="0"/>
        <v>38.346531142890896</v>
      </c>
      <c r="H36" s="44">
        <f t="shared" si="2"/>
        <v>924.0000000000007</v>
      </c>
      <c r="I36" s="44">
        <f t="shared" si="1"/>
        <v>2086.6000000000004</v>
      </c>
    </row>
    <row r="37" spans="1:9" s="37" customFormat="1" ht="18.75">
      <c r="A37" s="18" t="s">
        <v>7</v>
      </c>
      <c r="B37" s="51">
        <v>910.3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11.2+19.5+15.2+5+5.7-0.1+1.9+5.1+7+0.3+7.7+25.8+82+15.4+14.3+13.2+14.4+42.6+0.1+37.6+3+2.6+0.8+1.6+3.9+98.6+0.5+15.5+1.7+3.3+166.5+5.9+37.9+118.4+6.4+2.7</f>
        <v>793.2</v>
      </c>
      <c r="E37" s="17">
        <f>D37/D33*100</f>
        <v>2.1472483980909742</v>
      </c>
      <c r="F37" s="17">
        <f t="shared" si="3"/>
        <v>87.13610897506318</v>
      </c>
      <c r="G37" s="17">
        <f t="shared" si="0"/>
        <v>85.35456795437428</v>
      </c>
      <c r="H37" s="53">
        <f t="shared" si="2"/>
        <v>117.09999999999991</v>
      </c>
      <c r="I37" s="53">
        <f t="shared" si="1"/>
        <v>136.0999999999999</v>
      </c>
    </row>
    <row r="38" spans="1:9" ht="18">
      <c r="A38" s="23" t="s">
        <v>14</v>
      </c>
      <c r="B38" s="42">
        <v>40.6</v>
      </c>
      <c r="C38" s="43">
        <v>60.8</v>
      </c>
      <c r="D38" s="43">
        <f>5.1+5.1+5.1+5.1+5.1</f>
        <v>25.5</v>
      </c>
      <c r="E38" s="1">
        <f>D38/D33*100</f>
        <v>0.06903030024120001</v>
      </c>
      <c r="F38" s="1">
        <f t="shared" si="3"/>
        <v>62.80788177339901</v>
      </c>
      <c r="G38" s="1">
        <f t="shared" si="0"/>
        <v>41.94078947368421</v>
      </c>
      <c r="H38" s="44">
        <f t="shared" si="2"/>
        <v>15.100000000000001</v>
      </c>
      <c r="I38" s="44">
        <f t="shared" si="1"/>
        <v>35.3</v>
      </c>
    </row>
    <row r="39" spans="1:9" ht="18.75" thickBot="1">
      <c r="A39" s="23" t="s">
        <v>29</v>
      </c>
      <c r="B39" s="42">
        <f>B33-B34-B36-B37-B35-B38</f>
        <v>8043.500000000001</v>
      </c>
      <c r="C39" s="42">
        <f>C33-C34-C36-C37-C35-C38</f>
        <v>9259.700000000006</v>
      </c>
      <c r="D39" s="42">
        <f>D33-D34-D36-D37-D35-D38</f>
        <v>7284.200000000009</v>
      </c>
      <c r="E39" s="1">
        <f>D39/D33*100</f>
        <v>19.718843647723517</v>
      </c>
      <c r="F39" s="1">
        <f t="shared" si="3"/>
        <v>90.56007956735263</v>
      </c>
      <c r="G39" s="1">
        <f t="shared" si="0"/>
        <v>78.66561551670145</v>
      </c>
      <c r="H39" s="44">
        <f>B39-D39</f>
        <v>759.299999999992</v>
      </c>
      <c r="I39" s="44">
        <f t="shared" si="1"/>
        <v>1975.4999999999973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1089.9+103</f>
        <v>1192.9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</f>
        <v>833.4000000000001</v>
      </c>
      <c r="E43" s="3">
        <f>D43/D150*100</f>
        <v>0.07218031046887322</v>
      </c>
      <c r="F43" s="3">
        <f>D43/B43*100</f>
        <v>69.86335820269932</v>
      </c>
      <c r="G43" s="3">
        <f t="shared" si="0"/>
        <v>57.81477627471384</v>
      </c>
      <c r="H43" s="47">
        <f t="shared" si="2"/>
        <v>359.5</v>
      </c>
      <c r="I43" s="47">
        <f t="shared" si="1"/>
        <v>608.0999999999999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6321.3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</f>
        <v>5772.699999999999</v>
      </c>
      <c r="E45" s="3">
        <f>D45/D150*100</f>
        <v>0.49997033626549586</v>
      </c>
      <c r="F45" s="3">
        <f>D45/B45*100</f>
        <v>91.3214054071156</v>
      </c>
      <c r="G45" s="3">
        <f aca="true" t="shared" si="4" ref="G45:G76">D45/C45*100</f>
        <v>74.13348058919466</v>
      </c>
      <c r="H45" s="47">
        <f>B45-D45</f>
        <v>548.6000000000013</v>
      </c>
      <c r="I45" s="47">
        <f aca="true" t="shared" si="5" ref="I45:I77">C45-D45</f>
        <v>2014.2000000000016</v>
      </c>
    </row>
    <row r="46" spans="1:9" ht="18">
      <c r="A46" s="23" t="s">
        <v>3</v>
      </c>
      <c r="B46" s="42">
        <v>5607.5</v>
      </c>
      <c r="C46" s="43">
        <v>6753.6</v>
      </c>
      <c r="D46" s="44">
        <f>224.1+258.6+235.3+288.8+241.4+328.6+224.6+306.6+239.4+298.3+269.8+13.5+346.9+45.8+263.2+291.7-0.1+38.6+180.3+343.4+215.2+305.6+213.9</f>
        <v>5173.5</v>
      </c>
      <c r="E46" s="1">
        <f>D46/D45*100</f>
        <v>89.62010844145722</v>
      </c>
      <c r="F46" s="1">
        <f aca="true" t="shared" si="6" ref="F46:F74">D46/B46*100</f>
        <v>92.26036558181008</v>
      </c>
      <c r="G46" s="1">
        <f t="shared" si="4"/>
        <v>76.60358919687278</v>
      </c>
      <c r="H46" s="44">
        <f aca="true" t="shared" si="7" ref="H46:H74">B46-D46</f>
        <v>434</v>
      </c>
      <c r="I46" s="44">
        <f t="shared" si="5"/>
        <v>1580.1000000000004</v>
      </c>
    </row>
    <row r="47" spans="1:9" ht="18">
      <c r="A47" s="23" t="s">
        <v>2</v>
      </c>
      <c r="B47" s="42">
        <v>1.1</v>
      </c>
      <c r="C47" s="43">
        <v>1.3</v>
      </c>
      <c r="D47" s="44">
        <f>0.3+0.4+0.1+0.3</f>
        <v>1.0999999999999999</v>
      </c>
      <c r="E47" s="1">
        <f>D47/D45*100</f>
        <v>0.019055208134841583</v>
      </c>
      <c r="F47" s="1">
        <f t="shared" si="6"/>
        <v>99.99999999999997</v>
      </c>
      <c r="G47" s="1">
        <f t="shared" si="4"/>
        <v>84.6153846153846</v>
      </c>
      <c r="H47" s="44">
        <f t="shared" si="7"/>
        <v>0</v>
      </c>
      <c r="I47" s="44">
        <f t="shared" si="5"/>
        <v>0.20000000000000018</v>
      </c>
    </row>
    <row r="48" spans="1:9" ht="18">
      <c r="A48" s="23" t="s">
        <v>1</v>
      </c>
      <c r="B48" s="42">
        <v>46.2</v>
      </c>
      <c r="C48" s="43">
        <v>70.7</v>
      </c>
      <c r="D48" s="44">
        <f>0.2+2.1+0.1+6.5+6.7-0.1+7+4.6+1.6+2+4.6+6.4</f>
        <v>41.7</v>
      </c>
      <c r="E48" s="1">
        <f>D48/D45*100</f>
        <v>0.7223656174753583</v>
      </c>
      <c r="F48" s="1">
        <f t="shared" si="6"/>
        <v>90.25974025974025</v>
      </c>
      <c r="G48" s="1">
        <f t="shared" si="4"/>
        <v>58.981612446958984</v>
      </c>
      <c r="H48" s="44">
        <f t="shared" si="7"/>
        <v>4.5</v>
      </c>
      <c r="I48" s="44">
        <f t="shared" si="5"/>
        <v>29</v>
      </c>
    </row>
    <row r="49" spans="1:9" ht="18">
      <c r="A49" s="23" t="s">
        <v>0</v>
      </c>
      <c r="B49" s="42">
        <v>374</v>
      </c>
      <c r="C49" s="43">
        <f>568.5+40.5</f>
        <v>609</v>
      </c>
      <c r="D49" s="44">
        <f>2.2+2.5+0.8+112.4+2.2+0.1+69.1+4.4-0.1+35.2+27.4+4.8+1+22.3+2.5+1.6+0.6+4.2-0.1+0.5+5.1+0.3+0.5+1.6+0.3+1.5+1.7+0.6</f>
        <v>305.2000000000001</v>
      </c>
      <c r="E49" s="1">
        <f>D49/D45*100</f>
        <v>5.286954111594231</v>
      </c>
      <c r="F49" s="1">
        <f t="shared" si="6"/>
        <v>81.60427807486633</v>
      </c>
      <c r="G49" s="1">
        <f t="shared" si="4"/>
        <v>50.114942528735654</v>
      </c>
      <c r="H49" s="44">
        <f t="shared" si="7"/>
        <v>68.7999999999999</v>
      </c>
      <c r="I49" s="44">
        <f t="shared" si="5"/>
        <v>303.7999999999999</v>
      </c>
    </row>
    <row r="50" spans="1:9" ht="18.75" thickBot="1">
      <c r="A50" s="23" t="s">
        <v>29</v>
      </c>
      <c r="B50" s="43">
        <f>B45-B46-B49-B48-B47</f>
        <v>292.50000000000017</v>
      </c>
      <c r="C50" s="43">
        <f>C45-C46-C49-C48-C47</f>
        <v>352.3000000000002</v>
      </c>
      <c r="D50" s="43">
        <f>D45-D46-D49-D48-D47</f>
        <v>251.19999999999882</v>
      </c>
      <c r="E50" s="1">
        <f>D50/D45*100</f>
        <v>4.351516621338349</v>
      </c>
      <c r="F50" s="1">
        <f t="shared" si="6"/>
        <v>85.88034188034143</v>
      </c>
      <c r="G50" s="1">
        <f t="shared" si="4"/>
        <v>71.30286687482223</v>
      </c>
      <c r="H50" s="44">
        <f t="shared" si="7"/>
        <v>41.30000000000135</v>
      </c>
      <c r="I50" s="44">
        <f t="shared" si="5"/>
        <v>101.10000000000136</v>
      </c>
    </row>
    <row r="51" spans="1:9" ht="18.75" thickBot="1">
      <c r="A51" s="22" t="s">
        <v>4</v>
      </c>
      <c r="B51" s="45">
        <v>13549</v>
      </c>
      <c r="C51" s="46">
        <f>16075.7+36.8+200+828.6-580</f>
        <v>16561.1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</f>
        <v>11201.99999999999</v>
      </c>
      <c r="E51" s="3">
        <f>D51/D150*100</f>
        <v>0.9701989895276181</v>
      </c>
      <c r="F51" s="3">
        <f>D51/B51*100</f>
        <v>82.67768839028705</v>
      </c>
      <c r="G51" s="3">
        <f t="shared" si="4"/>
        <v>67.64043451220023</v>
      </c>
      <c r="H51" s="47">
        <f>B51-D51</f>
        <v>2347.000000000009</v>
      </c>
      <c r="I51" s="47">
        <f t="shared" si="5"/>
        <v>5359.100000000008</v>
      </c>
    </row>
    <row r="52" spans="1:9" ht="18">
      <c r="A52" s="23" t="s">
        <v>3</v>
      </c>
      <c r="B52" s="42">
        <v>8481.5</v>
      </c>
      <c r="C52" s="43">
        <v>10328.7</v>
      </c>
      <c r="D52" s="44">
        <f>8+294.9+437.7+298.5+423.7+297.9+451.2+294.5+446+301+554.2+412+820.4+487.4+393.4+0.1+169.4+354.3-0.1+300.5+8.5+507.2+314.4</f>
        <v>7575.099999999998</v>
      </c>
      <c r="E52" s="1">
        <f>D52/D51*100</f>
        <v>67.62274593822535</v>
      </c>
      <c r="F52" s="1">
        <f t="shared" si="6"/>
        <v>89.31321110652594</v>
      </c>
      <c r="G52" s="1">
        <f t="shared" si="4"/>
        <v>73.34030420091587</v>
      </c>
      <c r="H52" s="44">
        <f t="shared" si="7"/>
        <v>906.4000000000024</v>
      </c>
      <c r="I52" s="44">
        <f t="shared" si="5"/>
        <v>2753.600000000003</v>
      </c>
    </row>
    <row r="53" spans="1:9" ht="18">
      <c r="A53" s="23" t="s">
        <v>2</v>
      </c>
      <c r="B53" s="42">
        <v>6</v>
      </c>
      <c r="C53" s="43">
        <v>12</v>
      </c>
      <c r="D53" s="44"/>
      <c r="E53" s="1">
        <f>D53/D51*100</f>
        <v>0</v>
      </c>
      <c r="F53" s="103">
        <f t="shared" si="6"/>
        <v>0</v>
      </c>
      <c r="G53" s="1">
        <f t="shared" si="4"/>
        <v>0</v>
      </c>
      <c r="H53" s="44">
        <f t="shared" si="7"/>
        <v>6</v>
      </c>
      <c r="I53" s="44">
        <f t="shared" si="5"/>
        <v>12</v>
      </c>
    </row>
    <row r="54" spans="1:9" ht="18">
      <c r="A54" s="23" t="s">
        <v>1</v>
      </c>
      <c r="B54" s="42">
        <v>242.9</v>
      </c>
      <c r="C54" s="43">
        <v>287</v>
      </c>
      <c r="D54" s="44">
        <f>1.3+0.7+2.1+1+1.3+7.6+7.5+6.3+0.4+13+20.7+0.5+5.3+9.4+10+8.9+5.1+7.2+1-0.1+17.9+7.1+3.8+1.6+1.9+6.6+0.6+5.8+1.3+5.3+15.2</f>
        <v>176.30000000000004</v>
      </c>
      <c r="E54" s="1">
        <f>D54/D51*100</f>
        <v>1.5738261024817013</v>
      </c>
      <c r="F54" s="1">
        <f t="shared" si="6"/>
        <v>72.58130918073282</v>
      </c>
      <c r="G54" s="1">
        <f t="shared" si="4"/>
        <v>61.428571428571445</v>
      </c>
      <c r="H54" s="44">
        <f t="shared" si="7"/>
        <v>66.59999999999997</v>
      </c>
      <c r="I54" s="44">
        <f t="shared" si="5"/>
        <v>110.69999999999996</v>
      </c>
    </row>
    <row r="55" spans="1:9" ht="18">
      <c r="A55" s="23" t="s">
        <v>0</v>
      </c>
      <c r="B55" s="42">
        <v>662.3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</f>
        <v>399.1</v>
      </c>
      <c r="E55" s="1">
        <f>D55/D51*100</f>
        <v>3.5627566505981103</v>
      </c>
      <c r="F55" s="1">
        <f t="shared" si="6"/>
        <v>60.25970104182395</v>
      </c>
      <c r="G55" s="1">
        <f t="shared" si="4"/>
        <v>42.77140713749866</v>
      </c>
      <c r="H55" s="44">
        <f t="shared" si="7"/>
        <v>263.19999999999993</v>
      </c>
      <c r="I55" s="44">
        <f t="shared" si="5"/>
        <v>534</v>
      </c>
    </row>
    <row r="56" spans="1:9" ht="18">
      <c r="A56" s="23" t="s">
        <v>14</v>
      </c>
      <c r="B56" s="42">
        <v>200</v>
      </c>
      <c r="C56" s="43">
        <v>200</v>
      </c>
      <c r="D56" s="43">
        <f>40+40+40+40+40</f>
        <v>200</v>
      </c>
      <c r="E56" s="1">
        <f>D56/D51*100</f>
        <v>1.7853954650955202</v>
      </c>
      <c r="F56" s="1">
        <f>D56/B56*100</f>
        <v>100</v>
      </c>
      <c r="G56" s="1">
        <f>D56/C56*100</f>
        <v>100</v>
      </c>
      <c r="H56" s="44">
        <f t="shared" si="7"/>
        <v>0</v>
      </c>
      <c r="I56" s="44">
        <f t="shared" si="5"/>
        <v>0</v>
      </c>
    </row>
    <row r="57" spans="1:9" ht="18.75" thickBot="1">
      <c r="A57" s="23" t="s">
        <v>29</v>
      </c>
      <c r="B57" s="43">
        <f>B51-B52-B55-B54-B53-B56</f>
        <v>3956.3</v>
      </c>
      <c r="C57" s="43">
        <f>C51-C52-C55-C54-C53-C56</f>
        <v>4800.299999999997</v>
      </c>
      <c r="D57" s="43">
        <f>D51-D52-D55-D54-D53-D56</f>
        <v>2851.499999999993</v>
      </c>
      <c r="E57" s="1">
        <f>D57/D51*100</f>
        <v>25.455275843599317</v>
      </c>
      <c r="F57" s="1">
        <f t="shared" si="6"/>
        <v>72.07491848444236</v>
      </c>
      <c r="G57" s="1">
        <f t="shared" si="4"/>
        <v>59.40253734141605</v>
      </c>
      <c r="H57" s="44">
        <f>B57-D57</f>
        <v>1104.800000000007</v>
      </c>
      <c r="I57" s="44">
        <f>C57-D57</f>
        <v>1948.8000000000043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5607</v>
      </c>
      <c r="C59" s="46">
        <f>5881.8+134.4+115.2-20</f>
        <v>6111.4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</f>
        <v>4455.199999999999</v>
      </c>
      <c r="E59" s="3">
        <f>D59/D150*100</f>
        <v>0.3858623940495846</v>
      </c>
      <c r="F59" s="3">
        <f>D59/B59*100</f>
        <v>79.45782058141607</v>
      </c>
      <c r="G59" s="3">
        <f t="shared" si="4"/>
        <v>72.89982655365381</v>
      </c>
      <c r="H59" s="47">
        <f>B59-D59</f>
        <v>1151.800000000001</v>
      </c>
      <c r="I59" s="47">
        <f t="shared" si="5"/>
        <v>1656.2000000000007</v>
      </c>
    </row>
    <row r="60" spans="1:9" ht="18">
      <c r="A60" s="23" t="s">
        <v>3</v>
      </c>
      <c r="B60" s="42">
        <v>1379.2</v>
      </c>
      <c r="C60" s="43">
        <f>1508.2+134.4</f>
        <v>1642.6000000000001</v>
      </c>
      <c r="D60" s="44">
        <f>43.5+72.8+47.2+62.5+0.1+35.3+86.8+44.1+125.7+41.4+92.3+60.6+92.7+66.3+68.7-0.1+2+54.7+84.1+36.1+101.8+41.9</f>
        <v>1260.5</v>
      </c>
      <c r="E60" s="1">
        <f>D60/D59*100</f>
        <v>28.2927814688454</v>
      </c>
      <c r="F60" s="1">
        <f t="shared" si="6"/>
        <v>91.39356148491879</v>
      </c>
      <c r="G60" s="1">
        <f t="shared" si="4"/>
        <v>76.73809813709971</v>
      </c>
      <c r="H60" s="44">
        <f t="shared" si="7"/>
        <v>118.70000000000005</v>
      </c>
      <c r="I60" s="44">
        <f t="shared" si="5"/>
        <v>382.10000000000014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6.996318908242056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438.6</v>
      </c>
      <c r="C62" s="43">
        <v>627.5</v>
      </c>
      <c r="D62" s="44">
        <f>4.7+45.7+4.9+40.9+19.8+3.9+46.3+9+12.6+0.9+3+0.3+2.8+0.3+0.1+2.2+0.3+2.2+0.3+3.3+0.5</f>
        <v>204.00000000000003</v>
      </c>
      <c r="E62" s="1">
        <f>D62/D59*100</f>
        <v>4.5789190159813264</v>
      </c>
      <c r="F62" s="1">
        <f t="shared" si="6"/>
        <v>46.51162790697675</v>
      </c>
      <c r="G62" s="1">
        <f t="shared" si="4"/>
        <v>32.50996015936256</v>
      </c>
      <c r="H62" s="44">
        <f t="shared" si="7"/>
        <v>234.6</v>
      </c>
      <c r="I62" s="44">
        <f t="shared" si="5"/>
        <v>423.5</v>
      </c>
    </row>
    <row r="63" spans="1:9" ht="18">
      <c r="A63" s="23" t="s">
        <v>14</v>
      </c>
      <c r="B63" s="42">
        <v>3331.4</v>
      </c>
      <c r="C63" s="43">
        <f>3216.2+115.2</f>
        <v>3331.3999999999996</v>
      </c>
      <c r="D63" s="44">
        <f>252+735+554.4+1033.2</f>
        <v>2574.6000000000004</v>
      </c>
      <c r="E63" s="1">
        <f>D63/D59*100</f>
        <v>57.78865146345845</v>
      </c>
      <c r="F63" s="1">
        <f t="shared" si="6"/>
        <v>77.282824037942</v>
      </c>
      <c r="G63" s="1">
        <f t="shared" si="4"/>
        <v>77.28282403794202</v>
      </c>
      <c r="H63" s="44">
        <f t="shared" si="7"/>
        <v>756.7999999999997</v>
      </c>
      <c r="I63" s="44">
        <f t="shared" si="5"/>
        <v>756.7999999999993</v>
      </c>
    </row>
    <row r="64" spans="1:9" ht="18.75" thickBot="1">
      <c r="A64" s="23" t="s">
        <v>29</v>
      </c>
      <c r="B64" s="43">
        <f>B59-B60-B62-B63-B61</f>
        <v>146.00000000000017</v>
      </c>
      <c r="C64" s="43">
        <f>C59-C60-C62-C63-C61</f>
        <v>198.09999999999962</v>
      </c>
      <c r="D64" s="43">
        <f>D59-D60-D62-D63-D61</f>
        <v>104.3999999999985</v>
      </c>
      <c r="E64" s="1">
        <f>D64/D59*100</f>
        <v>2.3433291434727628</v>
      </c>
      <c r="F64" s="1">
        <f t="shared" si="6"/>
        <v>71.50684931506738</v>
      </c>
      <c r="G64" s="1">
        <f t="shared" si="4"/>
        <v>52.70065623422448</v>
      </c>
      <c r="H64" s="44">
        <f t="shared" si="7"/>
        <v>41.60000000000167</v>
      </c>
      <c r="I64" s="44">
        <f t="shared" si="5"/>
        <v>93.70000000000113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231.2</v>
      </c>
      <c r="C69" s="46">
        <f>C70+C71</f>
        <v>311.8</v>
      </c>
      <c r="D69" s="47">
        <f>SUM(D70:D71)</f>
        <v>179.5</v>
      </c>
      <c r="E69" s="35">
        <f>D69/D150*100</f>
        <v>0.015546395163382217</v>
      </c>
      <c r="F69" s="3">
        <f>D69/B69*100</f>
        <v>77.63840830449827</v>
      </c>
      <c r="G69" s="3">
        <f t="shared" si="4"/>
        <v>57.56895445798589</v>
      </c>
      <c r="H69" s="47">
        <f>B69-D69</f>
        <v>51.69999999999999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69.3-9</f>
        <v>60.3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15.92039800995025</v>
      </c>
      <c r="G71" s="1">
        <f t="shared" si="4"/>
        <v>6.8181818181818175</v>
      </c>
      <c r="H71" s="44">
        <f t="shared" si="7"/>
        <v>50.699999999999996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237.1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237.1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50759.2+150.3</f>
        <v>50909.5</v>
      </c>
      <c r="C90" s="46">
        <f>50201.5+5861+2853.8+11.8-0.1+368.5+374.4+150.3</f>
        <v>59821.20000000001</v>
      </c>
      <c r="D90" s="47">
        <f>44075.1+103.3+46.5</f>
        <v>44224.9</v>
      </c>
      <c r="E90" s="3">
        <f>D90/D150*100</f>
        <v>3.8302939914265304</v>
      </c>
      <c r="F90" s="3">
        <f aca="true" t="shared" si="10" ref="F90:F96">D90/B90*100</f>
        <v>86.8696412260973</v>
      </c>
      <c r="G90" s="3">
        <f t="shared" si="8"/>
        <v>73.92847351774955</v>
      </c>
      <c r="H90" s="47">
        <f aca="true" t="shared" si="11" ref="H90:H96">B90-D90</f>
        <v>6684.5999999999985</v>
      </c>
      <c r="I90" s="47">
        <f t="shared" si="9"/>
        <v>15596.30000000001</v>
      </c>
    </row>
    <row r="91" spans="1:9" ht="18">
      <c r="A91" s="23" t="s">
        <v>3</v>
      </c>
      <c r="B91" s="42">
        <v>42209.2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</f>
        <v>37798.999999999985</v>
      </c>
      <c r="E91" s="1">
        <f>D91/D90*100</f>
        <v>85.4699501864334</v>
      </c>
      <c r="F91" s="1">
        <f t="shared" si="10"/>
        <v>89.5515669569667</v>
      </c>
      <c r="G91" s="1">
        <f t="shared" si="8"/>
        <v>76.08387160406352</v>
      </c>
      <c r="H91" s="44">
        <f t="shared" si="11"/>
        <v>4410.200000000012</v>
      </c>
      <c r="I91" s="44">
        <f t="shared" si="9"/>
        <v>11881.700000000012</v>
      </c>
    </row>
    <row r="92" spans="1:9" ht="18">
      <c r="A92" s="23" t="s">
        <v>27</v>
      </c>
      <c r="B92" s="42">
        <v>1544.3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</f>
        <v>1193.9999999999998</v>
      </c>
      <c r="E92" s="1">
        <f>D92/D90*100</f>
        <v>2.6998365174370087</v>
      </c>
      <c r="F92" s="1">
        <f t="shared" si="10"/>
        <v>77.31658356536941</v>
      </c>
      <c r="G92" s="1">
        <f t="shared" si="8"/>
        <v>56.28358631092674</v>
      </c>
      <c r="H92" s="44">
        <f t="shared" si="11"/>
        <v>350.3000000000002</v>
      </c>
      <c r="I92" s="44">
        <f t="shared" si="9"/>
        <v>927.4000000000003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7156.000000000003</v>
      </c>
      <c r="C94" s="43">
        <f>C90-C91-C92-C93</f>
        <v>8019.100000000015</v>
      </c>
      <c r="D94" s="43">
        <f>D90-D91-D92-D93</f>
        <v>5231.900000000016</v>
      </c>
      <c r="E94" s="1">
        <f>D94/D90*100</f>
        <v>11.830213296129592</v>
      </c>
      <c r="F94" s="1">
        <f t="shared" si="10"/>
        <v>73.1120737842372</v>
      </c>
      <c r="G94" s="1">
        <f>D94/C94*100</f>
        <v>65.24298237956886</v>
      </c>
      <c r="H94" s="44">
        <f t="shared" si="11"/>
        <v>1924.0999999999867</v>
      </c>
      <c r="I94" s="44">
        <f>C94-D94</f>
        <v>2787.199999999999</v>
      </c>
    </row>
    <row r="95" spans="1:9" ht="18.75">
      <c r="A95" s="108" t="s">
        <v>12</v>
      </c>
      <c r="B95" s="111">
        <f>69041.8+250+500</f>
        <v>69791.8</v>
      </c>
      <c r="C95" s="113">
        <f>63500.4+11490.6+4535.2-1.1-1111.2+1589.3-1380+1170.8</f>
        <v>79794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</f>
        <v>64765.50000000001</v>
      </c>
      <c r="E95" s="107">
        <f>D95/D150*100</f>
        <v>5.609303932891538</v>
      </c>
      <c r="F95" s="110">
        <f t="shared" si="10"/>
        <v>92.798151072189</v>
      </c>
      <c r="G95" s="106">
        <f>D95/C95*100</f>
        <v>81.16587713361908</v>
      </c>
      <c r="H95" s="112">
        <f t="shared" si="11"/>
        <v>5026.299999999996</v>
      </c>
      <c r="I95" s="122">
        <f>C95-D95</f>
        <v>15028.499999999993</v>
      </c>
    </row>
    <row r="96" spans="1:9" ht="18.75" thickBot="1">
      <c r="A96" s="109" t="s">
        <v>89</v>
      </c>
      <c r="B96" s="114">
        <v>6125.4</v>
      </c>
      <c r="C96" s="115">
        <f>5343.5+287.2+2416.8+30</f>
        <v>8077.5</v>
      </c>
      <c r="D96" s="116">
        <f>4529.8+517.7+29.4+13.1+5</f>
        <v>5095</v>
      </c>
      <c r="E96" s="117">
        <f>D96/D95*100</f>
        <v>7.866842686306752</v>
      </c>
      <c r="F96" s="118">
        <f t="shared" si="10"/>
        <v>83.17824142096843</v>
      </c>
      <c r="G96" s="119">
        <f>D96/C96*100</f>
        <v>63.07644692045806</v>
      </c>
      <c r="H96" s="123">
        <f t="shared" si="11"/>
        <v>1030.3999999999996</v>
      </c>
      <c r="I96" s="124">
        <f>C96-D96</f>
        <v>2982.5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8528.6+6</f>
        <v>8534.6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</f>
        <v>5966.099999999999</v>
      </c>
      <c r="E102" s="19">
        <f>D102/D150*100</f>
        <v>0.5167206026977974</v>
      </c>
      <c r="F102" s="19">
        <f>D102/B102*100</f>
        <v>69.90485787265952</v>
      </c>
      <c r="G102" s="19">
        <f aca="true" t="shared" si="12" ref="G102:G148">D102/C102*100</f>
        <v>56.615107230973614</v>
      </c>
      <c r="H102" s="79">
        <f aca="true" t="shared" si="13" ref="H102:H107">B102-D102</f>
        <v>2568.500000000001</v>
      </c>
      <c r="I102" s="79">
        <f aca="true" t="shared" si="14" ref="I102:I148">C102-D102</f>
        <v>4571.900000000001</v>
      </c>
    </row>
    <row r="103" spans="1:9" ht="18">
      <c r="A103" s="23" t="s">
        <v>3</v>
      </c>
      <c r="B103" s="89">
        <v>124.5</v>
      </c>
      <c r="C103" s="87">
        <v>187.6</v>
      </c>
      <c r="D103" s="87">
        <f>15.1+18.9-0.1+18.6+22.1+18.4+16.3</f>
        <v>109.3</v>
      </c>
      <c r="E103" s="83">
        <f>D103/D102*100</f>
        <v>1.8320175659140812</v>
      </c>
      <c r="F103" s="1">
        <f>D103/B103*100</f>
        <v>87.79116465863453</v>
      </c>
      <c r="G103" s="83">
        <f>D103/C103*100</f>
        <v>58.262260127931775</v>
      </c>
      <c r="H103" s="87">
        <f t="shared" si="13"/>
        <v>15.200000000000003</v>
      </c>
      <c r="I103" s="87">
        <f t="shared" si="14"/>
        <v>78.3</v>
      </c>
    </row>
    <row r="104" spans="1:9" ht="18">
      <c r="A104" s="85" t="s">
        <v>52</v>
      </c>
      <c r="B104" s="74">
        <f>6896.6+6</f>
        <v>6902.6</v>
      </c>
      <c r="C104" s="44">
        <f>8863.3-154-3.5-134.3+25.3+6</f>
        <v>8602.8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</f>
        <v>5143.2</v>
      </c>
      <c r="E104" s="1">
        <f>D104/D102*100</f>
        <v>86.20706994519033</v>
      </c>
      <c r="F104" s="1">
        <f aca="true" t="shared" si="15" ref="F104:F148">D104/B104*100</f>
        <v>74.5110538058123</v>
      </c>
      <c r="G104" s="1">
        <f t="shared" si="12"/>
        <v>59.785186218440515</v>
      </c>
      <c r="H104" s="44">
        <f t="shared" si="13"/>
        <v>1759.4000000000005</v>
      </c>
      <c r="I104" s="44">
        <f t="shared" si="14"/>
        <v>3459.5999999999995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1507.5</v>
      </c>
      <c r="C106" s="88">
        <f>C102-C103-C104</f>
        <v>1747.6000000000004</v>
      </c>
      <c r="D106" s="88">
        <f>D102-D103-D104</f>
        <v>713.5999999999995</v>
      </c>
      <c r="E106" s="84">
        <f>D106/D102*100</f>
        <v>11.960912488895586</v>
      </c>
      <c r="F106" s="84">
        <f t="shared" si="15"/>
        <v>47.3366500829187</v>
      </c>
      <c r="G106" s="84">
        <f t="shared" si="12"/>
        <v>40.833142595559586</v>
      </c>
      <c r="H106" s="124">
        <f>B106-D106</f>
        <v>793.9000000000005</v>
      </c>
      <c r="I106" s="124">
        <f t="shared" si="14"/>
        <v>1034.000000000001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520785.8000000001</v>
      </c>
      <c r="C107" s="81">
        <f>SUM(C108:C147)-C115-C119+C148-C139-C140-C109-C112-C122-C123-C137-C131-C129</f>
        <v>586346.5999999999</v>
      </c>
      <c r="D107" s="81">
        <f>SUM(D108:D147)-D115-D119+D148-D139-D140-D109-D112-D122-D123-D137-D131-D129</f>
        <v>479828.10000000015</v>
      </c>
      <c r="E107" s="82">
        <f>D107/D150*100</f>
        <v>41.55764486403834</v>
      </c>
      <c r="F107" s="82">
        <f>D107/B107*100</f>
        <v>92.13540384549657</v>
      </c>
      <c r="G107" s="82">
        <f t="shared" si="12"/>
        <v>81.83352645005534</v>
      </c>
      <c r="H107" s="81">
        <f t="shared" si="13"/>
        <v>40957.69999999995</v>
      </c>
      <c r="I107" s="81">
        <f t="shared" si="14"/>
        <v>106518.49999999971</v>
      </c>
    </row>
    <row r="108" spans="1:9" ht="37.5">
      <c r="A108" s="28" t="s">
        <v>56</v>
      </c>
      <c r="B108" s="71">
        <v>1735.4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</f>
        <v>978.7999999999996</v>
      </c>
      <c r="E108" s="6">
        <f>D108/D107*100</f>
        <v>0.20398972048531533</v>
      </c>
      <c r="F108" s="6">
        <f t="shared" si="15"/>
        <v>56.40198225193036</v>
      </c>
      <c r="G108" s="6">
        <f t="shared" si="12"/>
        <v>45.185116794386474</v>
      </c>
      <c r="H108" s="61">
        <f aca="true" t="shared" si="16" ref="H108:H148">B108-D108</f>
        <v>756.6000000000005</v>
      </c>
      <c r="I108" s="61">
        <f t="shared" si="14"/>
        <v>1187.4</v>
      </c>
    </row>
    <row r="109" spans="1:9" ht="18">
      <c r="A109" s="23" t="s">
        <v>27</v>
      </c>
      <c r="B109" s="74">
        <v>932.5</v>
      </c>
      <c r="C109" s="44">
        <v>1213.5</v>
      </c>
      <c r="D109" s="75">
        <f>142.7+0.9+78.6+37.4+20.9+42.5+24.8+0.6+32.7+0.1+16.7+37.6+29.1</f>
        <v>464.6</v>
      </c>
      <c r="E109" s="1">
        <f>D109/D108*100</f>
        <v>47.466285247241544</v>
      </c>
      <c r="F109" s="1">
        <f t="shared" si="15"/>
        <v>49.8230563002681</v>
      </c>
      <c r="G109" s="1">
        <f t="shared" si="12"/>
        <v>38.285949732179645</v>
      </c>
      <c r="H109" s="44">
        <f t="shared" si="16"/>
        <v>467.9</v>
      </c>
      <c r="I109" s="44">
        <f t="shared" si="14"/>
        <v>748.9</v>
      </c>
    </row>
    <row r="110" spans="1:9" ht="34.5" customHeight="1">
      <c r="A110" s="16" t="s">
        <v>84</v>
      </c>
      <c r="B110" s="73">
        <v>633.2</v>
      </c>
      <c r="C110" s="61">
        <v>778.3</v>
      </c>
      <c r="D110" s="72">
        <f>26.5+20.2+7.7+37.4+7.5+38.9-0.1+38.9+12.6+45.5+9.7+1.6+37.6-0.1+56.2+1.4+57.4+128+14.8+60.5</f>
        <v>602.1999999999998</v>
      </c>
      <c r="E110" s="6">
        <f>D110/D107*100</f>
        <v>0.12550327919519502</v>
      </c>
      <c r="F110" s="6">
        <f>D110/B110*100</f>
        <v>95.10423246999365</v>
      </c>
      <c r="G110" s="6">
        <f t="shared" si="12"/>
        <v>77.37376333033534</v>
      </c>
      <c r="H110" s="61">
        <f t="shared" si="16"/>
        <v>31.000000000000227</v>
      </c>
      <c r="I110" s="61">
        <f t="shared" si="14"/>
        <v>176.10000000000014</v>
      </c>
    </row>
    <row r="111" spans="1:9" s="37" customFormat="1" ht="34.5" customHeight="1">
      <c r="A111" s="16" t="s">
        <v>60</v>
      </c>
      <c r="B111" s="73">
        <f>744.1-429.7</f>
        <v>314.40000000000003</v>
      </c>
      <c r="C111" s="53">
        <f>774.1-429.7</f>
        <v>344.40000000000003</v>
      </c>
      <c r="D111" s="76"/>
      <c r="E111" s="6">
        <f>D111/D107*100</f>
        <v>0</v>
      </c>
      <c r="F111" s="6">
        <f t="shared" si="15"/>
        <v>0</v>
      </c>
      <c r="G111" s="6">
        <f t="shared" si="12"/>
        <v>0</v>
      </c>
      <c r="H111" s="61">
        <f t="shared" si="16"/>
        <v>314.40000000000003</v>
      </c>
      <c r="I111" s="61">
        <f t="shared" si="14"/>
        <v>344.40000000000003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</f>
        <v>26.7</v>
      </c>
      <c r="E113" s="6">
        <f>D113/D107*100</f>
        <v>0.005564492783978261</v>
      </c>
      <c r="F113" s="6">
        <f t="shared" si="15"/>
        <v>53.400000000000006</v>
      </c>
      <c r="G113" s="6">
        <f t="shared" si="12"/>
        <v>53.400000000000006</v>
      </c>
      <c r="H113" s="61">
        <f t="shared" si="16"/>
        <v>23.3</v>
      </c>
      <c r="I113" s="61">
        <f t="shared" si="14"/>
        <v>23.3</v>
      </c>
    </row>
    <row r="114" spans="1:9" ht="37.5">
      <c r="A114" s="16" t="s">
        <v>41</v>
      </c>
      <c r="B114" s="73">
        <v>1449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</f>
        <v>1067.6000000000001</v>
      </c>
      <c r="E114" s="6">
        <f>D114/D107*100</f>
        <v>0.2224963481713555</v>
      </c>
      <c r="F114" s="6">
        <f t="shared" si="15"/>
        <v>73.67839889579021</v>
      </c>
      <c r="G114" s="6">
        <f t="shared" si="12"/>
        <v>58.46659364731654</v>
      </c>
      <c r="H114" s="61">
        <f t="shared" si="16"/>
        <v>381.39999999999986</v>
      </c>
      <c r="I114" s="61">
        <f t="shared" si="14"/>
        <v>758.3999999999999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228.5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228.5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</f>
        <v>45.5</v>
      </c>
      <c r="E117" s="6">
        <f>D117/D107*100</f>
        <v>0.009482562609401156</v>
      </c>
      <c r="F117" s="6">
        <f>D117/B117*100</f>
        <v>41.36363636363637</v>
      </c>
      <c r="G117" s="6">
        <f t="shared" si="12"/>
        <v>41.36363636363637</v>
      </c>
      <c r="H117" s="61">
        <f t="shared" si="16"/>
        <v>64.5</v>
      </c>
      <c r="I117" s="61">
        <f t="shared" si="14"/>
        <v>64.5</v>
      </c>
    </row>
    <row r="118" spans="1:9" s="2" customFormat="1" ht="18.75">
      <c r="A118" s="16" t="s">
        <v>15</v>
      </c>
      <c r="B118" s="73">
        <v>187.7</v>
      </c>
      <c r="C118" s="53">
        <f>229.6+4.4</f>
        <v>234</v>
      </c>
      <c r="D118" s="72">
        <f>17.1-0.3+0.8+0.3+21.4+4.2+0.3+17.6+4.2+0.8+0.3+16.8+0.3+2+2.2+17.7+1.1+4.1+17.7+0.8+4.3+0.3+1.6+0.3+4+0.8+1.7+3+17.7+1.1+2.9</f>
        <v>167.1</v>
      </c>
      <c r="E118" s="6">
        <f>D118/D107*100</f>
        <v>0.03482497169298754</v>
      </c>
      <c r="F118" s="6">
        <f t="shared" si="15"/>
        <v>89.0250399573788</v>
      </c>
      <c r="G118" s="6">
        <f t="shared" si="12"/>
        <v>71.41025641025641</v>
      </c>
      <c r="H118" s="61">
        <f t="shared" si="16"/>
        <v>20.599999999999994</v>
      </c>
      <c r="I118" s="61">
        <f t="shared" si="14"/>
        <v>66.9</v>
      </c>
    </row>
    <row r="119" spans="1:9" s="32" customFormat="1" ht="18">
      <c r="A119" s="33" t="s">
        <v>47</v>
      </c>
      <c r="B119" s="74">
        <v>138</v>
      </c>
      <c r="C119" s="44">
        <f>170.2+4.4</f>
        <v>174.6</v>
      </c>
      <c r="D119" s="75">
        <f>17.1-0.3+16.8+16.8+16.8+17.7+17.7+17.7</f>
        <v>120.30000000000001</v>
      </c>
      <c r="E119" s="1">
        <f>D119/D118*100</f>
        <v>71.99281867145423</v>
      </c>
      <c r="F119" s="1">
        <f t="shared" si="15"/>
        <v>87.17391304347827</v>
      </c>
      <c r="G119" s="1">
        <f t="shared" si="12"/>
        <v>68.90034364261169</v>
      </c>
      <c r="H119" s="44">
        <f t="shared" si="16"/>
        <v>17.69999999999999</v>
      </c>
      <c r="I119" s="44">
        <f t="shared" si="14"/>
        <v>54.29999999999998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568.7-80</f>
        <v>488.70000000000005</v>
      </c>
      <c r="C121" s="53">
        <f>204.9+375.8-12</f>
        <v>568.7</v>
      </c>
      <c r="D121" s="76">
        <f>136.8+10+57.4-0.1+22.6+0.1</f>
        <v>226.8</v>
      </c>
      <c r="E121" s="17">
        <f>D121/D107*100</f>
        <v>0.04726692746839961</v>
      </c>
      <c r="F121" s="6">
        <f t="shared" si="15"/>
        <v>46.408839779005525</v>
      </c>
      <c r="G121" s="6">
        <f t="shared" si="12"/>
        <v>39.880429048707576</v>
      </c>
      <c r="H121" s="61">
        <f t="shared" si="16"/>
        <v>261.90000000000003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23167.5</v>
      </c>
      <c r="C124" s="53">
        <f>5096.9+1707.5+6000+16669.6-700</f>
        <v>28774</v>
      </c>
      <c r="D124" s="76">
        <f>3776+7.6+1124+100+14.3+14.5+0.1+20.4+3015.8+9+1156.5+27+0.1+1146.6+5.2+681+29.9+16.3+480.3+117.6+5542.8+148.8+1446+310+974.1+0.1+1858.9+80.5</f>
        <v>22103.399999999998</v>
      </c>
      <c r="E124" s="17">
        <f>D124/D107*100</f>
        <v>4.606524711662362</v>
      </c>
      <c r="F124" s="6">
        <f t="shared" si="15"/>
        <v>95.40692780835221</v>
      </c>
      <c r="G124" s="6">
        <f t="shared" si="12"/>
        <v>76.81726558698824</v>
      </c>
      <c r="H124" s="61">
        <f t="shared" si="16"/>
        <v>1064.1000000000022</v>
      </c>
      <c r="I124" s="61">
        <f t="shared" si="14"/>
        <v>6670.600000000002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0.011462438319056342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v>754.2</v>
      </c>
      <c r="C128" s="53">
        <v>983</v>
      </c>
      <c r="D128" s="76">
        <f>2.8+14.4+2.8+8.8+3.7+4+2.8+5.8+9.6+4.2+2.7+0.2+2.9+76+0.5+2.6+4.7+5.9+2.9+2.9+16.5+2.9</f>
        <v>179.6</v>
      </c>
      <c r="E128" s="17">
        <f>D128/D107*100</f>
        <v>0.03743007131095489</v>
      </c>
      <c r="F128" s="6">
        <f t="shared" si="15"/>
        <v>23.813312118801377</v>
      </c>
      <c r="G128" s="6">
        <f t="shared" si="12"/>
        <v>18.270600203458798</v>
      </c>
      <c r="H128" s="61">
        <f t="shared" si="16"/>
        <v>574.6</v>
      </c>
      <c r="I128" s="61">
        <f t="shared" si="14"/>
        <v>803.4</v>
      </c>
    </row>
    <row r="129" spans="1:9" s="32" customFormat="1" ht="18">
      <c r="A129" s="23" t="s">
        <v>99</v>
      </c>
      <c r="B129" s="74">
        <v>644.3</v>
      </c>
      <c r="C129" s="44">
        <v>851.8</v>
      </c>
      <c r="D129" s="75">
        <f>2.8+2.8-0.1+2.8+2.7+2.9+70.7+4.7+2.9+2.9+2.9</f>
        <v>98.00000000000003</v>
      </c>
      <c r="E129" s="1">
        <f>D129/D128*100</f>
        <v>54.56570155902006</v>
      </c>
      <c r="F129" s="1">
        <f>D129/B129*100</f>
        <v>15.210305758187184</v>
      </c>
      <c r="G129" s="1">
        <f t="shared" si="12"/>
        <v>11.505048133364644</v>
      </c>
      <c r="H129" s="44">
        <f t="shared" si="16"/>
        <v>546.3</v>
      </c>
      <c r="I129" s="44">
        <f t="shared" si="14"/>
        <v>753.8</v>
      </c>
    </row>
    <row r="130" spans="1:9" s="2" customFormat="1" ht="37.5">
      <c r="A130" s="16" t="s">
        <v>107</v>
      </c>
      <c r="B130" s="73">
        <v>200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46.7</v>
      </c>
      <c r="C132" s="53">
        <v>64.1</v>
      </c>
      <c r="D132" s="76">
        <f>0.8+2.3+1.8+1+14.8+2.3</f>
        <v>23</v>
      </c>
      <c r="E132" s="17">
        <f>D132/D107*100</f>
        <v>0.004793383297059924</v>
      </c>
      <c r="F132" s="6">
        <f t="shared" si="15"/>
        <v>49.25053533190577</v>
      </c>
      <c r="G132" s="6">
        <f t="shared" si="12"/>
        <v>35.8814352574103</v>
      </c>
      <c r="H132" s="61">
        <f t="shared" si="16"/>
        <v>23.700000000000003</v>
      </c>
      <c r="I132" s="61">
        <f t="shared" si="14"/>
        <v>41.099999999999994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f>100-80</f>
        <v>20</v>
      </c>
      <c r="C134" s="53">
        <f>600-500</f>
        <v>100</v>
      </c>
      <c r="D134" s="76">
        <f>0.8+5+0.9+2.6-0.1+0.6+0.1+0.6+1.7</f>
        <v>12.2</v>
      </c>
      <c r="E134" s="17">
        <f>D134/D107*100</f>
        <v>0.002542577227136134</v>
      </c>
      <c r="F134" s="6">
        <f t="shared" si="15"/>
        <v>61</v>
      </c>
      <c r="G134" s="6">
        <f t="shared" si="12"/>
        <v>12.2</v>
      </c>
      <c r="H134" s="61">
        <f t="shared" si="16"/>
        <v>7.800000000000001</v>
      </c>
      <c r="I134" s="61">
        <f t="shared" si="14"/>
        <v>87.8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277.8</v>
      </c>
      <c r="C136" s="53">
        <v>363.7</v>
      </c>
      <c r="D136" s="76">
        <f>5.2+0.3+2.7+0.1+0.5+0.2+13.8+39.2+5+5.9+2+6.5+0.1+32.4+5+3.9+0.2+0.7+8.4+0.1+0.1+3+4.4+0.1+5.5+21.4+0.1+4.5+0.6+5.7+0.4+24.5+1.5+1.7</f>
        <v>205.7</v>
      </c>
      <c r="E136" s="17">
        <f>D136/D107*100</f>
        <v>0.04286951931327072</v>
      </c>
      <c r="F136" s="6">
        <f t="shared" si="15"/>
        <v>74.04607631389489</v>
      </c>
      <c r="G136" s="6">
        <f>D136/C136*100</f>
        <v>56.55760241957657</v>
      </c>
      <c r="H136" s="61">
        <f t="shared" si="16"/>
        <v>72.10000000000002</v>
      </c>
      <c r="I136" s="61">
        <f t="shared" si="14"/>
        <v>158</v>
      </c>
    </row>
    <row r="137" spans="1:9" s="32" customFormat="1" ht="18">
      <c r="A137" s="23" t="s">
        <v>27</v>
      </c>
      <c r="B137" s="74">
        <v>193.6</v>
      </c>
      <c r="C137" s="44">
        <f>218.8+36.5</f>
        <v>255.3</v>
      </c>
      <c r="D137" s="75">
        <f>0.3+39.3+0.2+2+32.4+0.2-0.1+5.4+0.1+5.5+21.4+0.1+0.1+22.6+1.7</f>
        <v>131.19999999999996</v>
      </c>
      <c r="E137" s="103">
        <f>D137/D136*100</f>
        <v>63.7822070977151</v>
      </c>
      <c r="F137" s="1">
        <f t="shared" si="15"/>
        <v>67.7685950413223</v>
      </c>
      <c r="G137" s="1">
        <f>D137/C137*100</f>
        <v>51.390520955738324</v>
      </c>
      <c r="H137" s="44">
        <f t="shared" si="16"/>
        <v>62.400000000000034</v>
      </c>
      <c r="I137" s="44">
        <f t="shared" si="14"/>
        <v>124.10000000000005</v>
      </c>
    </row>
    <row r="138" spans="1:9" s="2" customFormat="1" ht="18.75">
      <c r="A138" s="16" t="s">
        <v>26</v>
      </c>
      <c r="B138" s="73">
        <v>1062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</f>
        <v>983.5999999999999</v>
      </c>
      <c r="E138" s="17">
        <f>D138/D107*100</f>
        <v>0.20499007873861483</v>
      </c>
      <c r="F138" s="6">
        <f t="shared" si="15"/>
        <v>92.61770244821092</v>
      </c>
      <c r="G138" s="6">
        <f t="shared" si="12"/>
        <v>78.23735284759783</v>
      </c>
      <c r="H138" s="61">
        <f t="shared" si="16"/>
        <v>78.40000000000009</v>
      </c>
      <c r="I138" s="61">
        <f t="shared" si="14"/>
        <v>273.60000000000014</v>
      </c>
    </row>
    <row r="139" spans="1:9" s="32" customFormat="1" ht="18">
      <c r="A139" s="33" t="s">
        <v>47</v>
      </c>
      <c r="B139" s="74">
        <v>739.8</v>
      </c>
      <c r="C139" s="44">
        <v>886.2</v>
      </c>
      <c r="D139" s="75">
        <f>26.5+39.8+30.1+42.1+0.1+31.9+40.5+11.2+38.1+30.1+28.3+17.4+33.4+8.9+24.2+37.9+28.8+43.2+29.4+43.5-0.1+36.5+38.4+39.2</f>
        <v>699.4</v>
      </c>
      <c r="E139" s="1">
        <f>D139/D138*100</f>
        <v>71.10614070760472</v>
      </c>
      <c r="F139" s="1">
        <f aca="true" t="shared" si="17" ref="F139:F147">D139/B139*100</f>
        <v>94.53906461205732</v>
      </c>
      <c r="G139" s="1">
        <f t="shared" si="12"/>
        <v>78.92123674114194</v>
      </c>
      <c r="H139" s="44">
        <f t="shared" si="16"/>
        <v>40.39999999999998</v>
      </c>
      <c r="I139" s="44">
        <f t="shared" si="14"/>
        <v>186.80000000000007</v>
      </c>
    </row>
    <row r="140" spans="1:9" s="32" customFormat="1" ht="18">
      <c r="A140" s="23" t="s">
        <v>27</v>
      </c>
      <c r="B140" s="74">
        <v>25.6</v>
      </c>
      <c r="C140" s="44">
        <v>39.3</v>
      </c>
      <c r="D140" s="75">
        <f>8.6+0.2+0.3+5.1+0.4+5.3+0.3+0.3+0.2+0.3+0.3+0.3</f>
        <v>21.6</v>
      </c>
      <c r="E140" s="1">
        <f>D140/D138*100</f>
        <v>2.196014640097601</v>
      </c>
      <c r="F140" s="1">
        <f t="shared" si="17"/>
        <v>84.375</v>
      </c>
      <c r="G140" s="1">
        <f>D140/C140*100</f>
        <v>54.961832061068705</v>
      </c>
      <c r="H140" s="44">
        <f t="shared" si="16"/>
        <v>4</v>
      </c>
      <c r="I140" s="44">
        <f t="shared" si="14"/>
        <v>17.699999999999996</v>
      </c>
    </row>
    <row r="141" spans="1:9" s="2" customFormat="1" ht="56.25">
      <c r="A141" s="18" t="s">
        <v>95</v>
      </c>
      <c r="B141" s="73">
        <f>345+154.1</f>
        <v>499.1</v>
      </c>
      <c r="C141" s="53">
        <f>345+154.1</f>
        <v>499.1</v>
      </c>
      <c r="D141" s="76">
        <f>345</f>
        <v>345</v>
      </c>
      <c r="E141" s="17">
        <f>D141/D107*100</f>
        <v>0.07190074945589887</v>
      </c>
      <c r="F141" s="99">
        <f t="shared" si="17"/>
        <v>69.12442396313364</v>
      </c>
      <c r="G141" s="6">
        <f t="shared" si="12"/>
        <v>69.12442396313364</v>
      </c>
      <c r="H141" s="61">
        <f t="shared" si="16"/>
        <v>154.10000000000002</v>
      </c>
      <c r="I141" s="61">
        <f t="shared" si="14"/>
        <v>154.10000000000002</v>
      </c>
    </row>
    <row r="142" spans="1:9" s="2" customFormat="1" ht="18.75">
      <c r="A142" s="18" t="s">
        <v>111</v>
      </c>
      <c r="B142" s="73">
        <v>2620</v>
      </c>
      <c r="C142" s="53">
        <v>2620</v>
      </c>
      <c r="D142" s="76"/>
      <c r="E142" s="17">
        <f>D142/D107*100</f>
        <v>0</v>
      </c>
      <c r="F142" s="99">
        <f>D142/B142*100</f>
        <v>0</v>
      </c>
      <c r="G142" s="6">
        <f t="shared" si="12"/>
        <v>0</v>
      </c>
      <c r="H142" s="61">
        <f t="shared" si="16"/>
        <v>2620</v>
      </c>
      <c r="I142" s="61">
        <f t="shared" si="14"/>
        <v>2620</v>
      </c>
    </row>
    <row r="143" spans="1:9" s="2" customFormat="1" ht="18.75">
      <c r="A143" s="18" t="s">
        <v>92</v>
      </c>
      <c r="B143" s="73">
        <f>33238.5+3264</f>
        <v>36502.5</v>
      </c>
      <c r="C143" s="53">
        <f>16744+15000+2000-2607.4+8610.1+1327.3</f>
        <v>41074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</f>
        <v>31842.3</v>
      </c>
      <c r="E143" s="17">
        <f>D143/D107*100</f>
        <v>6.636189085216141</v>
      </c>
      <c r="F143" s="99">
        <f t="shared" si="17"/>
        <v>87.23320320525991</v>
      </c>
      <c r="G143" s="6">
        <f t="shared" si="12"/>
        <v>77.52422457028777</v>
      </c>
      <c r="H143" s="61">
        <f t="shared" si="16"/>
        <v>4660.200000000001</v>
      </c>
      <c r="I143" s="61">
        <f t="shared" si="14"/>
        <v>9231.7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0.43974081551288874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0.1256074831799138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428779.4-3514-2494.7-340</f>
        <v>422430.7</v>
      </c>
      <c r="C147" s="53">
        <f>473452.9-2494.7</f>
        <v>470958.2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</f>
        <v>394888.5000000001</v>
      </c>
      <c r="E147" s="17">
        <f>D147/D107*100</f>
        <v>82.29791043917602</v>
      </c>
      <c r="F147" s="6">
        <f t="shared" si="17"/>
        <v>93.48006667129073</v>
      </c>
      <c r="G147" s="6">
        <f t="shared" si="12"/>
        <v>83.84788713732983</v>
      </c>
      <c r="H147" s="61">
        <f t="shared" si="16"/>
        <v>27542.199999999895</v>
      </c>
      <c r="I147" s="61">
        <f t="shared" si="14"/>
        <v>76069.6999999999</v>
      </c>
      <c r="K147" s="91"/>
      <c r="L147" s="38"/>
    </row>
    <row r="148" spans="1:12" s="2" customFormat="1" ht="18.75">
      <c r="A148" s="16" t="s">
        <v>94</v>
      </c>
      <c r="B148" s="73">
        <v>24168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</f>
        <v>23362.399999999994</v>
      </c>
      <c r="E148" s="17">
        <f>D148/D107*100</f>
        <v>4.868910345184033</v>
      </c>
      <c r="F148" s="6">
        <f t="shared" si="15"/>
        <v>96.66666666666664</v>
      </c>
      <c r="G148" s="6">
        <f t="shared" si="12"/>
        <v>80.55555555555554</v>
      </c>
      <c r="H148" s="61">
        <f t="shared" si="16"/>
        <v>805.6000000000058</v>
      </c>
      <c r="I148" s="61">
        <f t="shared" si="14"/>
        <v>5639.200000000004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530981.6000000001</v>
      </c>
      <c r="C149" s="77">
        <f>C43+C69+C72+C77+C79+C87+C102+C107+C100+C84+C98</f>
        <v>600445.8999999999</v>
      </c>
      <c r="D149" s="53">
        <f>D43+D69+D72+D77+D79+D87+D102+D107+D100+D84+D98</f>
        <v>486807.10000000015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1299829.8000000003</v>
      </c>
      <c r="C150" s="47">
        <f>C6+C18+C33+C43+C51+C59+C69+C72+C77+C79+C87+C90+C95+C102+C107+C100+C84+C98+C45</f>
        <v>1531590.7999999998</v>
      </c>
      <c r="D150" s="47">
        <f>D6+D18+D33+D43+D51+D59+D69+D72+D77+D79+D87+D90+D95+D102+D107+D100+D84+D98+D45</f>
        <v>1154608.5000000002</v>
      </c>
      <c r="E150" s="31">
        <v>100</v>
      </c>
      <c r="F150" s="3">
        <f>D150/B150*100</f>
        <v>88.82766805315589</v>
      </c>
      <c r="G150" s="3">
        <f aca="true" t="shared" si="18" ref="G150:G156">D150/C150*100</f>
        <v>75.38622587704238</v>
      </c>
      <c r="H150" s="47">
        <f aca="true" t="shared" si="19" ref="H150:H156">B150-D150</f>
        <v>145221.30000000005</v>
      </c>
      <c r="I150" s="47">
        <f aca="true" t="shared" si="20" ref="I150:I156">C150-D150</f>
        <v>376982.2999999996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505627.8</v>
      </c>
      <c r="C151" s="60">
        <f>C8+C20+C34+C52+C60+C91+C115+C119+C46+C139+C131+C103</f>
        <v>608055.8999999997</v>
      </c>
      <c r="D151" s="60">
        <f>D8+D20+D34+D52+D60+D91+D115+D119+D46+D139+D131+D103</f>
        <v>466890.69999999984</v>
      </c>
      <c r="E151" s="6">
        <f>D151/D150*100</f>
        <v>40.437143845727775</v>
      </c>
      <c r="F151" s="6">
        <f aca="true" t="shared" si="21" ref="F151:F156">D151/B151*100</f>
        <v>92.33881127580403</v>
      </c>
      <c r="G151" s="6">
        <f t="shared" si="18"/>
        <v>76.78417395505907</v>
      </c>
      <c r="H151" s="61">
        <f t="shared" si="19"/>
        <v>38737.10000000015</v>
      </c>
      <c r="I151" s="72">
        <f t="shared" si="20"/>
        <v>141165.19999999984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88059.10000000002</v>
      </c>
      <c r="C152" s="61">
        <f>C11+C23+C36+C55+C62+C92+C49+C140+C109+C112+C96+C137</f>
        <v>121965.20000000001</v>
      </c>
      <c r="D152" s="61">
        <f>D11+D23+D36+D55+D62+D92+D49+D140+D109+D112+D96+D137</f>
        <v>57921.899999999994</v>
      </c>
      <c r="E152" s="6">
        <f>D152/D150*100</f>
        <v>5.016583543252971</v>
      </c>
      <c r="F152" s="6">
        <f t="shared" si="21"/>
        <v>65.7761662338134</v>
      </c>
      <c r="G152" s="6">
        <f t="shared" si="18"/>
        <v>47.490513687510855</v>
      </c>
      <c r="H152" s="61">
        <f t="shared" si="19"/>
        <v>30137.200000000026</v>
      </c>
      <c r="I152" s="72">
        <f t="shared" si="20"/>
        <v>64043.30000000002</v>
      </c>
      <c r="K152" s="39"/>
      <c r="L152" s="90"/>
    </row>
    <row r="153" spans="1:12" ht="18.75">
      <c r="A153" s="18" t="s">
        <v>1</v>
      </c>
      <c r="B153" s="60">
        <f>B22+B10+B54+B48+B61+B35+B123</f>
        <v>29702.2</v>
      </c>
      <c r="C153" s="60">
        <f>C22+C10+C54+C48+C61+C35+C123</f>
        <v>31701.800000000003</v>
      </c>
      <c r="D153" s="60">
        <f>D22+D10+D54+D48+D61+D35+D123</f>
        <v>23318.900000000012</v>
      </c>
      <c r="E153" s="6">
        <f>D153/D150*100</f>
        <v>2.0196369591943943</v>
      </c>
      <c r="F153" s="6">
        <f t="shared" si="21"/>
        <v>78.50899933338276</v>
      </c>
      <c r="G153" s="6">
        <f t="shared" si="18"/>
        <v>73.5570219987509</v>
      </c>
      <c r="H153" s="61">
        <f t="shared" si="19"/>
        <v>6383.299999999988</v>
      </c>
      <c r="I153" s="72">
        <f t="shared" si="20"/>
        <v>8382.89999999999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24410.5</v>
      </c>
      <c r="C154" s="60">
        <f>C12+C24+C104+C63+C38+C93+C129+C56</f>
        <v>29378.4</v>
      </c>
      <c r="D154" s="60">
        <f>D12+D24+D104+D63+D38+D93+D129+D56</f>
        <v>18910.199999999997</v>
      </c>
      <c r="E154" s="6">
        <f>D154/D150*100</f>
        <v>1.6378019042818406</v>
      </c>
      <c r="F154" s="6">
        <f t="shared" si="21"/>
        <v>77.46748325515658</v>
      </c>
      <c r="G154" s="6">
        <f t="shared" si="18"/>
        <v>64.36769871742504</v>
      </c>
      <c r="H154" s="61">
        <f t="shared" si="19"/>
        <v>5500.300000000003</v>
      </c>
      <c r="I154" s="72">
        <f t="shared" si="20"/>
        <v>10468.200000000004</v>
      </c>
      <c r="K154" s="39"/>
      <c r="L154" s="90"/>
    </row>
    <row r="155" spans="1:12" ht="18.75">
      <c r="A155" s="18" t="s">
        <v>2</v>
      </c>
      <c r="B155" s="60">
        <f>B9+B21+B47+B53+B122</f>
        <v>20427.999999999996</v>
      </c>
      <c r="C155" s="60">
        <f>C9+C21+C47+C53+C122</f>
        <v>22288.699999999997</v>
      </c>
      <c r="D155" s="60">
        <f>D9+D21+D47+D53+D122</f>
        <v>17047.6</v>
      </c>
      <c r="E155" s="6">
        <f>D155/D150*100</f>
        <v>1.4764831542466554</v>
      </c>
      <c r="F155" s="6">
        <f t="shared" si="21"/>
        <v>83.45212453495203</v>
      </c>
      <c r="G155" s="6">
        <f t="shared" si="18"/>
        <v>76.48539394401648</v>
      </c>
      <c r="H155" s="61">
        <f t="shared" si="19"/>
        <v>3380.399999999998</v>
      </c>
      <c r="I155" s="72">
        <f t="shared" si="20"/>
        <v>5241.0999999999985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631602.2000000003</v>
      </c>
      <c r="C156" s="78">
        <f>C150-C151-C152-C153-C154-C155</f>
        <v>718200.8000000002</v>
      </c>
      <c r="D156" s="78">
        <f>D150-D151-D152-D153-D154-D155</f>
        <v>570519.2000000004</v>
      </c>
      <c r="E156" s="36">
        <f>D156/D150*100</f>
        <v>49.41235059329637</v>
      </c>
      <c r="F156" s="36">
        <f t="shared" si="21"/>
        <v>90.32888105836238</v>
      </c>
      <c r="G156" s="36">
        <f t="shared" si="18"/>
        <v>79.43728272093267</v>
      </c>
      <c r="H156" s="127">
        <f t="shared" si="19"/>
        <v>61082.99999999988</v>
      </c>
      <c r="I156" s="127">
        <f t="shared" si="20"/>
        <v>147681.59999999974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fitToHeight="1" fitToWidth="1" horizontalDpi="600" verticalDpi="6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1154608.5000000002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1154608.5000000002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2016-10-03T10:02:07Z</cp:lastPrinted>
  <dcterms:created xsi:type="dcterms:W3CDTF">2000-06-20T04:48:00Z</dcterms:created>
  <dcterms:modified xsi:type="dcterms:W3CDTF">2016-10-21T05:02:24Z</dcterms:modified>
  <cp:category/>
  <cp:version/>
  <cp:contentType/>
  <cp:contentStatus/>
</cp:coreProperties>
</file>